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2021 йил" sheetId="2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20" l="1"/>
  <c r="I49" i="20"/>
  <c r="L49" i="20" s="1"/>
  <c r="K48" i="20"/>
  <c r="J48" i="20"/>
  <c r="I48" i="20"/>
  <c r="K47" i="20"/>
  <c r="I47" i="20"/>
  <c r="L47" i="20" s="1"/>
  <c r="K46" i="20"/>
  <c r="I46" i="20"/>
  <c r="K45" i="20"/>
  <c r="I45" i="20"/>
  <c r="L45" i="20" s="1"/>
  <c r="I43" i="20"/>
  <c r="L43" i="20" s="1"/>
  <c r="K42" i="20"/>
  <c r="J42" i="20"/>
  <c r="I42" i="20"/>
  <c r="L42" i="20" s="1"/>
  <c r="L46" i="20" l="1"/>
  <c r="L48" i="20"/>
  <c r="J44" i="20"/>
  <c r="I44" i="20"/>
  <c r="L44" i="20" s="1"/>
  <c r="I41" i="20"/>
  <c r="L41" i="20" s="1"/>
  <c r="I40" i="20"/>
  <c r="L40" i="20" s="1"/>
  <c r="K39" i="20"/>
  <c r="J39" i="20"/>
  <c r="I39" i="20"/>
  <c r="K38" i="20"/>
  <c r="J38" i="20"/>
  <c r="I38" i="20"/>
  <c r="L38" i="20" s="1"/>
  <c r="K37" i="20"/>
  <c r="J37" i="20"/>
  <c r="I37" i="20"/>
  <c r="K36" i="20"/>
  <c r="J36" i="20"/>
  <c r="I36" i="20"/>
  <c r="K35" i="20"/>
  <c r="J35" i="20"/>
  <c r="I35" i="20"/>
  <c r="K34" i="20"/>
  <c r="J34" i="20"/>
  <c r="I34" i="20"/>
  <c r="L34" i="20" s="1"/>
  <c r="K33" i="20"/>
  <c r="J33" i="20"/>
  <c r="I33" i="20"/>
  <c r="L36" i="20" l="1"/>
  <c r="L39" i="20"/>
  <c r="L33" i="20"/>
  <c r="L37" i="20"/>
  <c r="L35" i="20"/>
  <c r="J32" i="20"/>
  <c r="I32" i="20"/>
  <c r="L32" i="20" s="1"/>
  <c r="I31" i="20"/>
  <c r="L31" i="20" s="1"/>
  <c r="I24" i="20"/>
  <c r="L24" i="20" s="1"/>
  <c r="I23" i="20"/>
  <c r="L23" i="20" s="1"/>
  <c r="K30" i="20"/>
  <c r="I30" i="20"/>
  <c r="L30" i="20" s="1"/>
  <c r="K29" i="20"/>
  <c r="I29" i="20"/>
  <c r="K28" i="20"/>
  <c r="I28" i="20"/>
  <c r="J27" i="20"/>
  <c r="I27" i="20"/>
  <c r="J26" i="20"/>
  <c r="I26" i="20"/>
  <c r="J25" i="20"/>
  <c r="I25" i="20"/>
  <c r="L28" i="20" l="1"/>
  <c r="L29" i="20"/>
  <c r="L25" i="20"/>
  <c r="L26" i="20"/>
  <c r="L27" i="20"/>
  <c r="A7" i="20" l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I16" i="20"/>
  <c r="K16" i="20"/>
  <c r="I17" i="20"/>
  <c r="K17" i="20"/>
  <c r="I13" i="20"/>
  <c r="L13" i="20" s="1"/>
  <c r="I14" i="20"/>
  <c r="L14" i="20" s="1"/>
  <c r="I15" i="20"/>
  <c r="L15" i="20" s="1"/>
  <c r="I10" i="20"/>
  <c r="J10" i="20"/>
  <c r="K10" i="20"/>
  <c r="I11" i="20"/>
  <c r="J11" i="20"/>
  <c r="K11" i="20"/>
  <c r="I12" i="20"/>
  <c r="J12" i="20"/>
  <c r="K12" i="20"/>
  <c r="I6" i="20"/>
  <c r="J6" i="20"/>
  <c r="K6" i="20"/>
  <c r="I7" i="20"/>
  <c r="J7" i="20"/>
  <c r="K7" i="20"/>
  <c r="I8" i="20"/>
  <c r="J8" i="20"/>
  <c r="K8" i="20"/>
  <c r="I9" i="20"/>
  <c r="J9" i="20"/>
  <c r="K9" i="20"/>
  <c r="K22" i="20"/>
  <c r="J22" i="20"/>
  <c r="I22" i="20"/>
  <c r="J18" i="20"/>
  <c r="I18" i="20"/>
  <c r="I21" i="20"/>
  <c r="L21" i="20" s="1"/>
  <c r="I20" i="20"/>
  <c r="L20" i="20" s="1"/>
  <c r="I19" i="20"/>
  <c r="J50" i="20" l="1"/>
  <c r="K50" i="20"/>
  <c r="I50" i="20"/>
  <c r="L16" i="20"/>
  <c r="L17" i="20"/>
  <c r="L10" i="20"/>
  <c r="L7" i="20"/>
  <c r="L8" i="20"/>
  <c r="L11" i="20"/>
  <c r="L9" i="20"/>
  <c r="L12" i="20"/>
  <c r="L6" i="20"/>
  <c r="L22" i="20"/>
  <c r="L18" i="20"/>
  <c r="L19" i="20"/>
  <c r="L50" i="20" l="1"/>
</calcChain>
</file>

<file path=xl/sharedStrings.xml><?xml version="1.0" encoding="utf-8"?>
<sst xmlns="http://schemas.openxmlformats.org/spreadsheetml/2006/main" count="266" uniqueCount="115">
  <si>
    <t>№</t>
  </si>
  <si>
    <t>Ходим исм-шарифи</t>
  </si>
  <si>
    <t>Лавозими</t>
  </si>
  <si>
    <t>Бўйруқ № ва санаси</t>
  </si>
  <si>
    <t>Директор биринчи ўринбосари</t>
  </si>
  <si>
    <t>Бозоров З.А.</t>
  </si>
  <si>
    <t>Бош мутахассис</t>
  </si>
  <si>
    <t>Хизмат сафари даври</t>
  </si>
  <si>
    <t>Хизмат сафари кунлари</t>
  </si>
  <si>
    <t>Хизмат сафари манзили</t>
  </si>
  <si>
    <t>Набиев И.К.</t>
  </si>
  <si>
    <t>Бўлим бошлиғи</t>
  </si>
  <si>
    <t>Самарқанд вилояти</t>
  </si>
  <si>
    <t>Бошқарма бошлиғи ўринбосари</t>
  </si>
  <si>
    <t>Етакчи мутахассис</t>
  </si>
  <si>
    <t>Дувлонов А.Х.</t>
  </si>
  <si>
    <t>Бухоро вилояти</t>
  </si>
  <si>
    <t>Саидмурадов Ш.Р.</t>
  </si>
  <si>
    <t>1-к  05.01.2021й</t>
  </si>
  <si>
    <t>06.01.-09.01.2021й</t>
  </si>
  <si>
    <t>2-к  05.01.2021й</t>
  </si>
  <si>
    <t>Ражабов А.Т.</t>
  </si>
  <si>
    <t>3-к  18.01.2021й</t>
  </si>
  <si>
    <t>20.01.-23.01.2021й</t>
  </si>
  <si>
    <t>Директор в.б.</t>
  </si>
  <si>
    <t>4-к  19.02.2021й</t>
  </si>
  <si>
    <t>24.02.-25.02.2021й</t>
  </si>
  <si>
    <t>22.02.-25.02.2021й</t>
  </si>
  <si>
    <t xml:space="preserve"> Самарқанд вилояти</t>
  </si>
  <si>
    <t>Абдуяминов А.</t>
  </si>
  <si>
    <t>Хайдовчи</t>
  </si>
  <si>
    <t>Эшанкулов А.</t>
  </si>
  <si>
    <t>Тохиров Ш.</t>
  </si>
  <si>
    <t>10.03.-11.03.2021й</t>
  </si>
  <si>
    <t xml:space="preserve"> Сурхандарё вилояти</t>
  </si>
  <si>
    <t>5-к  09.03.2021й</t>
  </si>
  <si>
    <t>Иргашев Т.</t>
  </si>
  <si>
    <t>8-к  01.06.2021й</t>
  </si>
  <si>
    <t>01.06.-02.03.2021й</t>
  </si>
  <si>
    <t xml:space="preserve"> Наманган вилояти</t>
  </si>
  <si>
    <t>7-к  26.05.2021й</t>
  </si>
  <si>
    <t>27.05.-28.05.2021й</t>
  </si>
  <si>
    <t>Фарғона вилояти</t>
  </si>
  <si>
    <t>9-к  02.06.2021й</t>
  </si>
  <si>
    <t>03.06.-04.06.2021й</t>
  </si>
  <si>
    <t>Кундалик харажатлар (сум)</t>
  </si>
  <si>
    <t>Яшаш жойи харажатлари (сўм)</t>
  </si>
  <si>
    <t>Транспорт харажатлари (сўм)</t>
  </si>
  <si>
    <t>Жами харажатлар (сўм)</t>
  </si>
  <si>
    <t>Саидмуродов Ш.</t>
  </si>
  <si>
    <t>Бўлим бошлиғи-бошқарма бошлиғи ўринбосари</t>
  </si>
  <si>
    <t>13-к  29.06.2021й</t>
  </si>
  <si>
    <t>30.06.-03.07.2021й</t>
  </si>
  <si>
    <t xml:space="preserve"> Фарғона, Наманган вилоятлари</t>
  </si>
  <si>
    <t>Ражабов А.</t>
  </si>
  <si>
    <t>Хурсанов А.</t>
  </si>
  <si>
    <t>14-к  05.07.2021й</t>
  </si>
  <si>
    <t>06.07.-08.07.2021й</t>
  </si>
  <si>
    <t xml:space="preserve"> Бухоро вилояти</t>
  </si>
  <si>
    <t>12-к  22.06.2021й</t>
  </si>
  <si>
    <t>23.06.-24.06.2021й</t>
  </si>
  <si>
    <t>Тошкент вилояти</t>
  </si>
  <si>
    <t>16-к  09.08.2021й</t>
  </si>
  <si>
    <t>09.08.2021й</t>
  </si>
  <si>
    <t>17-к  26.08.2021й</t>
  </si>
  <si>
    <t>26.08.-28.08.2021й</t>
  </si>
  <si>
    <t>Навои вилояти</t>
  </si>
  <si>
    <t>Жами</t>
  </si>
  <si>
    <t>МАЪЛУМОТ</t>
  </si>
  <si>
    <t>Ўзбекистон Республикаси Молия вазирлиги ҳузуридаги</t>
  </si>
  <si>
    <t>Давлат-хусусий шерикликни ривожлантириш агентлиги ходимларини</t>
  </si>
  <si>
    <t>Давлетов Х.</t>
  </si>
  <si>
    <t>18-к  11.10.2021й</t>
  </si>
  <si>
    <t>11.10.-16.10.2021й</t>
  </si>
  <si>
    <t>Қорақолпоғистон Республикаси, Хоразм вилояти</t>
  </si>
  <si>
    <t>Дувлонов А.</t>
  </si>
  <si>
    <t>Андижон, Наманган, Фарғона вилоятлари</t>
  </si>
  <si>
    <t>14.10.-24.10.2021й</t>
  </si>
  <si>
    <t>Сурхондарё, Қашқадарё, Самарқанд ва Бухоро вилояти</t>
  </si>
  <si>
    <t>Султонмуратов Р.Ш.</t>
  </si>
  <si>
    <t>Холиков А.А.</t>
  </si>
  <si>
    <t>12.10.-16.10.2021й</t>
  </si>
  <si>
    <t>15.10.-17.10.2021й</t>
  </si>
  <si>
    <t>19-к  15.10.2021й</t>
  </si>
  <si>
    <t>Тошкент, Жиззах вилоятлари</t>
  </si>
  <si>
    <t>26.10.-29.10.2021й</t>
  </si>
  <si>
    <t>25.10.2021й</t>
  </si>
  <si>
    <t>Сирдарё вилояти</t>
  </si>
  <si>
    <t>20-к  28.10.2021й</t>
  </si>
  <si>
    <t>28.10.-30.10.2021й</t>
  </si>
  <si>
    <t>03.11.-07.11.2021й</t>
  </si>
  <si>
    <t>Хоразм вилояти</t>
  </si>
  <si>
    <t>21-к  03.11.2021й</t>
  </si>
  <si>
    <t>22-к  26.11.2021й</t>
  </si>
  <si>
    <t>26.11.-27.11.2021й</t>
  </si>
  <si>
    <t>23-к  30.11.2021й</t>
  </si>
  <si>
    <t>01.12.-03.12.2021й</t>
  </si>
  <si>
    <t>Набиев И.Қ.</t>
  </si>
  <si>
    <t>24-к  17.12.2021й</t>
  </si>
  <si>
    <t>20.12.-30.12.2021й</t>
  </si>
  <si>
    <t xml:space="preserve">12.10.-21.10.2021й; </t>
  </si>
  <si>
    <t xml:space="preserve">2021 йил давомида Республика вилоятлари бўйича амалга оширилган хизмат сафарлари харажатлари тўғрисида </t>
  </si>
  <si>
    <t>Хизмат сафари мақсади</t>
  </si>
  <si>
    <t>ДХШР лойиҳаларини мониторинги</t>
  </si>
  <si>
    <t>Президент ташрифи учун маълумотлар тйёрлаш ва  ДХШР лойиҳаларини амалга ошириш бўйи ча таклифлар киритиш</t>
  </si>
  <si>
    <t>Денов туманида нодавлат таълим ташкилотини ташкил қилиш бўйича олиб борилаётган ишларни ўрганиш</t>
  </si>
  <si>
    <t>Давлат-хусусий шерикликка оид қонун хужжатларини ижросини ўрганиш</t>
  </si>
  <si>
    <t>Наманган шҳар канализация тозалаш иншооти бўйича  лойиҳасини ўрганиш</t>
  </si>
  <si>
    <t>Нарпай тумани насос станциясини ДХШ асосида бошқарувга бериш лойиҳаси бўйича мониторинг</t>
  </si>
  <si>
    <t>Ромитан тумани насос станциясини ДХШ асосида бошқарувга бериш лойиҳаси бўйича мониторинг</t>
  </si>
  <si>
    <t>Қаттиқ маиший чиқиндиларни тўплаш ва қайта ишлаш кластер хизматларини ДХШ асосида бошқарувга бериш лойиҳаларини мониторинги</t>
  </si>
  <si>
    <t>"Хунармандлар марказлари"ни ДХШ асосида ташкил этиш</t>
  </si>
  <si>
    <t>ЎзР Президенти Администрациясининг топшириғига асосан Ишчи гуруҳ таркибидаги маъсул</t>
  </si>
  <si>
    <t xml:space="preserve">ЎзР Президенти Администрациясининг топшириғига асосан </t>
  </si>
  <si>
    <t>Президент ташрифи учун маълумотлар тайёрлаш ва  ДХШР лойиҳаларини амалга ошириш бўйи ча таклифлар киритиш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</si>
</sst>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31" workbookViewId="0">
      <selection activeCell="M47" sqref="M47"/>
    </sheetView>
  </sheetViews>
  <sheetFormatPr defaultRowHeight="15" x14ac:dyDescent="0.25"/>
  <cols>
    <col min="1" max="1" width="5.28515625" customWidth="1"/>
    <col min="2" max="2" width="16" customWidth="1"/>
    <col min="3" max="3" width="17.85546875" customWidth="1"/>
    <col min="4" max="4" width="10.42578125" customWidth="1"/>
    <col min="5" max="5" width="30.7109375" customWidth="1"/>
    <col min="6" max="6" width="13" customWidth="1"/>
    <col min="7" max="7" width="9.85546875" customWidth="1"/>
    <col min="8" max="8" width="18.5703125" customWidth="1"/>
    <col min="9" max="9" width="12.7109375" customWidth="1"/>
    <col min="10" max="10" width="15" customWidth="1"/>
    <col min="11" max="11" width="15.140625" customWidth="1"/>
    <col min="12" max="12" width="14.140625" customWidth="1"/>
  </cols>
  <sheetData>
    <row r="1" spans="1:14" x14ac:dyDescent="0.25">
      <c r="A1" s="9" t="s">
        <v>69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  <c r="N1" s="1"/>
    </row>
    <row r="2" spans="1:14" x14ac:dyDescent="0.25">
      <c r="A2" s="9" t="s">
        <v>70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"/>
      <c r="N2" s="1"/>
    </row>
    <row r="3" spans="1:14" x14ac:dyDescent="0.25">
      <c r="A3" s="9" t="s">
        <v>101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"/>
      <c r="N3" s="1"/>
    </row>
    <row r="4" spans="1:14" x14ac:dyDescent="0.25">
      <c r="A4" s="9" t="s">
        <v>68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"/>
      <c r="N4" s="1"/>
    </row>
    <row r="5" spans="1:14" ht="43.5" x14ac:dyDescent="0.25">
      <c r="A5" s="3" t="s">
        <v>0</v>
      </c>
      <c r="B5" s="4" t="s">
        <v>1</v>
      </c>
      <c r="C5" s="3" t="s">
        <v>2</v>
      </c>
      <c r="D5" s="4" t="s">
        <v>3</v>
      </c>
      <c r="E5" s="4" t="s">
        <v>102</v>
      </c>
      <c r="F5" s="4" t="s">
        <v>7</v>
      </c>
      <c r="G5" s="4" t="s">
        <v>8</v>
      </c>
      <c r="H5" s="4" t="s">
        <v>9</v>
      </c>
      <c r="I5" s="4" t="s">
        <v>45</v>
      </c>
      <c r="J5" s="4" t="s">
        <v>46</v>
      </c>
      <c r="K5" s="4" t="s">
        <v>47</v>
      </c>
      <c r="L5" s="4" t="s">
        <v>48</v>
      </c>
      <c r="M5" s="1"/>
      <c r="N5" s="1"/>
    </row>
    <row r="6" spans="1:14" ht="36.75" customHeight="1" x14ac:dyDescent="0.25">
      <c r="A6" s="24">
        <v>1</v>
      </c>
      <c r="B6" s="11" t="s">
        <v>5</v>
      </c>
      <c r="C6" s="12" t="s">
        <v>4</v>
      </c>
      <c r="D6" s="13" t="s">
        <v>18</v>
      </c>
      <c r="E6" s="28" t="s">
        <v>114</v>
      </c>
      <c r="F6" s="14" t="s">
        <v>19</v>
      </c>
      <c r="G6" s="15">
        <v>4</v>
      </c>
      <c r="H6" s="14" t="s">
        <v>12</v>
      </c>
      <c r="I6" s="16">
        <f>223000*0.1*4</f>
        <v>89200</v>
      </c>
      <c r="J6" s="17">
        <f>250000*3</f>
        <v>750000</v>
      </c>
      <c r="K6" s="17">
        <f>55304*2</f>
        <v>110608</v>
      </c>
      <c r="L6" s="16">
        <f t="shared" ref="L6:L22" si="0">I6+J6+K6</f>
        <v>949808</v>
      </c>
      <c r="M6" s="1"/>
      <c r="N6" s="1"/>
    </row>
    <row r="7" spans="1:14" ht="43.5" customHeight="1" x14ac:dyDescent="0.25">
      <c r="A7" s="24">
        <f>A6+1</f>
        <v>2</v>
      </c>
      <c r="B7" s="11" t="s">
        <v>17</v>
      </c>
      <c r="C7" s="12" t="s">
        <v>13</v>
      </c>
      <c r="D7" s="13" t="s">
        <v>18</v>
      </c>
      <c r="E7" s="29"/>
      <c r="F7" s="14" t="s">
        <v>19</v>
      </c>
      <c r="G7" s="15">
        <v>4</v>
      </c>
      <c r="H7" s="14" t="s">
        <v>12</v>
      </c>
      <c r="I7" s="16">
        <f>223000*0.1*4</f>
        <v>89200</v>
      </c>
      <c r="J7" s="17">
        <f>250000*3</f>
        <v>750000</v>
      </c>
      <c r="K7" s="17">
        <f>55304*2</f>
        <v>110608</v>
      </c>
      <c r="L7" s="16">
        <f t="shared" si="0"/>
        <v>949808</v>
      </c>
      <c r="M7" s="1"/>
      <c r="N7" s="1"/>
    </row>
    <row r="8" spans="1:14" ht="42" customHeight="1" x14ac:dyDescent="0.25">
      <c r="A8" s="24">
        <f t="shared" ref="A8:A22" si="1">A7+1</f>
        <v>3</v>
      </c>
      <c r="B8" s="11" t="s">
        <v>10</v>
      </c>
      <c r="C8" s="12" t="s">
        <v>11</v>
      </c>
      <c r="D8" s="13" t="s">
        <v>18</v>
      </c>
      <c r="E8" s="29"/>
      <c r="F8" s="14" t="s">
        <v>19</v>
      </c>
      <c r="G8" s="15">
        <v>4</v>
      </c>
      <c r="H8" s="14" t="s">
        <v>12</v>
      </c>
      <c r="I8" s="16">
        <f>223000*0.1*4</f>
        <v>89200</v>
      </c>
      <c r="J8" s="17">
        <f>250000*3</f>
        <v>750000</v>
      </c>
      <c r="K8" s="17">
        <f>55304*2</f>
        <v>110608</v>
      </c>
      <c r="L8" s="16">
        <f t="shared" si="0"/>
        <v>949808</v>
      </c>
      <c r="M8" s="1"/>
      <c r="N8" s="1"/>
    </row>
    <row r="9" spans="1:14" ht="40.5" customHeight="1" x14ac:dyDescent="0.25">
      <c r="A9" s="24">
        <f t="shared" si="1"/>
        <v>4</v>
      </c>
      <c r="B9" s="11" t="s">
        <v>15</v>
      </c>
      <c r="C9" s="12" t="s">
        <v>14</v>
      </c>
      <c r="D9" s="13" t="s">
        <v>20</v>
      </c>
      <c r="E9" s="30"/>
      <c r="F9" s="14" t="s">
        <v>19</v>
      </c>
      <c r="G9" s="15">
        <v>4</v>
      </c>
      <c r="H9" s="14" t="s">
        <v>12</v>
      </c>
      <c r="I9" s="16">
        <f>223000*0.1*4</f>
        <v>89200</v>
      </c>
      <c r="J9" s="17">
        <f>250000*3</f>
        <v>750000</v>
      </c>
      <c r="K9" s="17">
        <f>55304*2</f>
        <v>110608</v>
      </c>
      <c r="L9" s="16">
        <f t="shared" si="0"/>
        <v>949808</v>
      </c>
      <c r="M9" s="1"/>
      <c r="N9" s="1"/>
    </row>
    <row r="10" spans="1:14" ht="39.75" customHeight="1" x14ac:dyDescent="0.25">
      <c r="A10" s="24">
        <f t="shared" si="1"/>
        <v>5</v>
      </c>
      <c r="B10" s="11" t="s">
        <v>5</v>
      </c>
      <c r="C10" s="12" t="s">
        <v>4</v>
      </c>
      <c r="D10" s="13" t="s">
        <v>22</v>
      </c>
      <c r="E10" s="28" t="s">
        <v>114</v>
      </c>
      <c r="F10" s="14" t="s">
        <v>23</v>
      </c>
      <c r="G10" s="15">
        <v>4</v>
      </c>
      <c r="H10" s="14" t="s">
        <v>16</v>
      </c>
      <c r="I10" s="16">
        <f>223000*0.1*4</f>
        <v>89200</v>
      </c>
      <c r="J10" s="17">
        <f>44600*4</f>
        <v>178400</v>
      </c>
      <c r="K10" s="17">
        <f>148060+173000</f>
        <v>321060</v>
      </c>
      <c r="L10" s="16">
        <f t="shared" si="0"/>
        <v>588660</v>
      </c>
      <c r="M10" s="1"/>
      <c r="N10" s="1"/>
    </row>
    <row r="11" spans="1:14" ht="35.25" customHeight="1" x14ac:dyDescent="0.25">
      <c r="A11" s="24">
        <f t="shared" si="1"/>
        <v>6</v>
      </c>
      <c r="B11" s="11" t="s">
        <v>21</v>
      </c>
      <c r="C11" s="12" t="s">
        <v>6</v>
      </c>
      <c r="D11" s="13" t="s">
        <v>22</v>
      </c>
      <c r="E11" s="29"/>
      <c r="F11" s="14" t="s">
        <v>23</v>
      </c>
      <c r="G11" s="15">
        <v>3</v>
      </c>
      <c r="H11" s="14" t="s">
        <v>16</v>
      </c>
      <c r="I11" s="16">
        <f>223000*0.1*3</f>
        <v>66900</v>
      </c>
      <c r="J11" s="17">
        <f>44600*3</f>
        <v>133800</v>
      </c>
      <c r="K11" s="17">
        <f>148060+173000</f>
        <v>321060</v>
      </c>
      <c r="L11" s="16">
        <f t="shared" si="0"/>
        <v>521760</v>
      </c>
      <c r="M11" s="1"/>
      <c r="N11" s="1"/>
    </row>
    <row r="12" spans="1:14" ht="35.25" customHeight="1" x14ac:dyDescent="0.25">
      <c r="A12" s="24">
        <f t="shared" si="1"/>
        <v>7</v>
      </c>
      <c r="B12" s="11" t="s">
        <v>15</v>
      </c>
      <c r="C12" s="12" t="s">
        <v>14</v>
      </c>
      <c r="D12" s="13" t="s">
        <v>22</v>
      </c>
      <c r="E12" s="30"/>
      <c r="F12" s="14" t="s">
        <v>23</v>
      </c>
      <c r="G12" s="15">
        <v>3</v>
      </c>
      <c r="H12" s="14" t="s">
        <v>16</v>
      </c>
      <c r="I12" s="16">
        <f>223000*0.1*3</f>
        <v>66900</v>
      </c>
      <c r="J12" s="17">
        <f>44600*3</f>
        <v>133800</v>
      </c>
      <c r="K12" s="17">
        <f>148060+173000</f>
        <v>321060</v>
      </c>
      <c r="L12" s="16">
        <f t="shared" si="0"/>
        <v>521760</v>
      </c>
      <c r="M12" s="1"/>
      <c r="N12" s="1"/>
    </row>
    <row r="13" spans="1:14" ht="33.75" customHeight="1" x14ac:dyDescent="0.25">
      <c r="A13" s="24">
        <f t="shared" si="1"/>
        <v>8</v>
      </c>
      <c r="B13" s="11" t="s">
        <v>5</v>
      </c>
      <c r="C13" s="12" t="s">
        <v>24</v>
      </c>
      <c r="D13" s="13" t="s">
        <v>25</v>
      </c>
      <c r="E13" s="28" t="s">
        <v>108</v>
      </c>
      <c r="F13" s="13" t="s">
        <v>26</v>
      </c>
      <c r="G13" s="15">
        <v>2</v>
      </c>
      <c r="H13" s="14" t="s">
        <v>28</v>
      </c>
      <c r="I13" s="16">
        <f>245000*0.1*2</f>
        <v>49000</v>
      </c>
      <c r="J13" s="17">
        <v>250000</v>
      </c>
      <c r="K13" s="17">
        <v>0</v>
      </c>
      <c r="L13" s="16">
        <f t="shared" si="0"/>
        <v>299000</v>
      </c>
      <c r="M13" s="1"/>
      <c r="N13" s="1"/>
    </row>
    <row r="14" spans="1:14" ht="35.25" customHeight="1" x14ac:dyDescent="0.25">
      <c r="A14" s="24">
        <f t="shared" si="1"/>
        <v>9</v>
      </c>
      <c r="B14" s="11" t="s">
        <v>10</v>
      </c>
      <c r="C14" s="12" t="s">
        <v>11</v>
      </c>
      <c r="D14" s="13" t="s">
        <v>25</v>
      </c>
      <c r="E14" s="29"/>
      <c r="F14" s="13" t="s">
        <v>27</v>
      </c>
      <c r="G14" s="15">
        <v>4</v>
      </c>
      <c r="H14" s="14" t="s">
        <v>28</v>
      </c>
      <c r="I14" s="16">
        <f>245000*0.1*4</f>
        <v>98000</v>
      </c>
      <c r="J14" s="17">
        <v>250000</v>
      </c>
      <c r="K14" s="17">
        <v>0</v>
      </c>
      <c r="L14" s="16">
        <f t="shared" si="0"/>
        <v>348000</v>
      </c>
      <c r="M14" s="1"/>
      <c r="N14" s="1"/>
    </row>
    <row r="15" spans="1:14" ht="35.25" customHeight="1" x14ac:dyDescent="0.25">
      <c r="A15" s="24">
        <f t="shared" si="1"/>
        <v>10</v>
      </c>
      <c r="B15" s="11" t="s">
        <v>29</v>
      </c>
      <c r="C15" s="12" t="s">
        <v>30</v>
      </c>
      <c r="D15" s="13" t="s">
        <v>25</v>
      </c>
      <c r="E15" s="30"/>
      <c r="F15" s="13" t="s">
        <v>26</v>
      </c>
      <c r="G15" s="15">
        <v>2</v>
      </c>
      <c r="H15" s="14" t="s">
        <v>28</v>
      </c>
      <c r="I15" s="16">
        <f>245000*0.1*2</f>
        <v>49000</v>
      </c>
      <c r="J15" s="17">
        <v>250000</v>
      </c>
      <c r="K15" s="17">
        <v>0</v>
      </c>
      <c r="L15" s="16">
        <f t="shared" si="0"/>
        <v>299000</v>
      </c>
      <c r="M15" s="1"/>
      <c r="N15" s="1"/>
    </row>
    <row r="16" spans="1:14" ht="33.75" customHeight="1" x14ac:dyDescent="0.25">
      <c r="A16" s="24">
        <f t="shared" si="1"/>
        <v>11</v>
      </c>
      <c r="B16" s="11" t="s">
        <v>31</v>
      </c>
      <c r="C16" s="12" t="s">
        <v>6</v>
      </c>
      <c r="D16" s="13" t="s">
        <v>35</v>
      </c>
      <c r="E16" s="28" t="s">
        <v>105</v>
      </c>
      <c r="F16" s="13" t="s">
        <v>33</v>
      </c>
      <c r="G16" s="15">
        <v>2</v>
      </c>
      <c r="H16" s="14" t="s">
        <v>34</v>
      </c>
      <c r="I16" s="16">
        <f>245000*0.1*2</f>
        <v>49000</v>
      </c>
      <c r="J16" s="17">
        <v>110000</v>
      </c>
      <c r="K16" s="16">
        <f>190350*2</f>
        <v>380700</v>
      </c>
      <c r="L16" s="16">
        <f t="shared" si="0"/>
        <v>539700</v>
      </c>
      <c r="M16" s="1"/>
      <c r="N16" s="1"/>
    </row>
    <row r="17" spans="1:14" ht="35.25" customHeight="1" x14ac:dyDescent="0.25">
      <c r="A17" s="24">
        <f t="shared" si="1"/>
        <v>12</v>
      </c>
      <c r="B17" s="11" t="s">
        <v>32</v>
      </c>
      <c r="C17" s="12" t="s">
        <v>14</v>
      </c>
      <c r="D17" s="13" t="s">
        <v>35</v>
      </c>
      <c r="E17" s="30"/>
      <c r="F17" s="13" t="s">
        <v>33</v>
      </c>
      <c r="G17" s="15">
        <v>2</v>
      </c>
      <c r="H17" s="14" t="s">
        <v>34</v>
      </c>
      <c r="I17" s="16">
        <f>245000*0.1*2</f>
        <v>49000</v>
      </c>
      <c r="J17" s="17">
        <v>110000</v>
      </c>
      <c r="K17" s="16">
        <f>190350*2</f>
        <v>380700</v>
      </c>
      <c r="L17" s="16">
        <f t="shared" si="0"/>
        <v>539700</v>
      </c>
      <c r="M17" s="1"/>
      <c r="N17" s="1"/>
    </row>
    <row r="18" spans="1:14" ht="33.75" customHeight="1" x14ac:dyDescent="0.25">
      <c r="A18" s="24">
        <f t="shared" si="1"/>
        <v>13</v>
      </c>
      <c r="B18" s="11" t="s">
        <v>10</v>
      </c>
      <c r="C18" s="12" t="s">
        <v>11</v>
      </c>
      <c r="D18" s="13" t="s">
        <v>40</v>
      </c>
      <c r="E18" s="32" t="s">
        <v>106</v>
      </c>
      <c r="F18" s="13" t="s">
        <v>41</v>
      </c>
      <c r="G18" s="15">
        <v>2</v>
      </c>
      <c r="H18" s="13" t="s">
        <v>42</v>
      </c>
      <c r="I18" s="16">
        <f t="shared" ref="I18:I22" si="2">245000*0.1*2</f>
        <v>49000</v>
      </c>
      <c r="J18" s="17">
        <f>49000*2</f>
        <v>98000</v>
      </c>
      <c r="K18" s="17">
        <v>128968</v>
      </c>
      <c r="L18" s="16">
        <f t="shared" si="0"/>
        <v>275968</v>
      </c>
      <c r="M18" s="1"/>
      <c r="N18" s="1"/>
    </row>
    <row r="19" spans="1:14" ht="33.75" customHeight="1" x14ac:dyDescent="0.25">
      <c r="A19" s="24">
        <f t="shared" si="1"/>
        <v>14</v>
      </c>
      <c r="B19" s="11" t="s">
        <v>5</v>
      </c>
      <c r="C19" s="12" t="s">
        <v>24</v>
      </c>
      <c r="D19" s="13" t="s">
        <v>37</v>
      </c>
      <c r="E19" s="28" t="s">
        <v>107</v>
      </c>
      <c r="F19" s="13" t="s">
        <v>38</v>
      </c>
      <c r="G19" s="15">
        <v>2</v>
      </c>
      <c r="H19" s="14" t="s">
        <v>39</v>
      </c>
      <c r="I19" s="16">
        <f>245000*0.1*2</f>
        <v>49000</v>
      </c>
      <c r="J19" s="17">
        <v>200000</v>
      </c>
      <c r="K19" s="17">
        <v>0</v>
      </c>
      <c r="L19" s="16">
        <f t="shared" si="0"/>
        <v>249000</v>
      </c>
      <c r="M19" s="1"/>
      <c r="N19" s="1"/>
    </row>
    <row r="20" spans="1:14" ht="33.75" customHeight="1" x14ac:dyDescent="0.25">
      <c r="A20" s="24">
        <f t="shared" si="1"/>
        <v>15</v>
      </c>
      <c r="B20" s="11" t="s">
        <v>36</v>
      </c>
      <c r="C20" s="12" t="s">
        <v>11</v>
      </c>
      <c r="D20" s="13" t="s">
        <v>37</v>
      </c>
      <c r="E20" s="29"/>
      <c r="F20" s="13" t="s">
        <v>38</v>
      </c>
      <c r="G20" s="15">
        <v>2</v>
      </c>
      <c r="H20" s="14" t="s">
        <v>39</v>
      </c>
      <c r="I20" s="16">
        <f t="shared" si="2"/>
        <v>49000</v>
      </c>
      <c r="J20" s="17">
        <v>200000</v>
      </c>
      <c r="K20" s="17">
        <v>0</v>
      </c>
      <c r="L20" s="16">
        <f t="shared" si="0"/>
        <v>249000</v>
      </c>
      <c r="M20" s="1"/>
      <c r="N20" s="1"/>
    </row>
    <row r="21" spans="1:14" ht="35.25" customHeight="1" x14ac:dyDescent="0.25">
      <c r="A21" s="24">
        <f t="shared" si="1"/>
        <v>16</v>
      </c>
      <c r="B21" s="11" t="s">
        <v>29</v>
      </c>
      <c r="C21" s="12" t="s">
        <v>30</v>
      </c>
      <c r="D21" s="13" t="s">
        <v>37</v>
      </c>
      <c r="E21" s="30"/>
      <c r="F21" s="13" t="s">
        <v>38</v>
      </c>
      <c r="G21" s="15">
        <v>2</v>
      </c>
      <c r="H21" s="14" t="s">
        <v>39</v>
      </c>
      <c r="I21" s="16">
        <f t="shared" si="2"/>
        <v>49000</v>
      </c>
      <c r="J21" s="17">
        <v>200000</v>
      </c>
      <c r="K21" s="16">
        <v>0</v>
      </c>
      <c r="L21" s="16">
        <f t="shared" si="0"/>
        <v>249000</v>
      </c>
      <c r="M21" s="1"/>
      <c r="N21" s="1"/>
    </row>
    <row r="22" spans="1:14" ht="33.75" customHeight="1" x14ac:dyDescent="0.25">
      <c r="A22" s="24">
        <f t="shared" si="1"/>
        <v>17</v>
      </c>
      <c r="B22" s="11" t="s">
        <v>10</v>
      </c>
      <c r="C22" s="12" t="s">
        <v>11</v>
      </c>
      <c r="D22" s="18" t="s">
        <v>43</v>
      </c>
      <c r="E22" s="31" t="s">
        <v>109</v>
      </c>
      <c r="F22" s="18" t="s">
        <v>44</v>
      </c>
      <c r="G22" s="15">
        <v>2</v>
      </c>
      <c r="H22" s="13" t="s">
        <v>16</v>
      </c>
      <c r="I22" s="16">
        <f t="shared" si="2"/>
        <v>49000</v>
      </c>
      <c r="J22" s="17">
        <f>49000*2</f>
        <v>98000</v>
      </c>
      <c r="K22" s="17">
        <f>110940+110940</f>
        <v>221880</v>
      </c>
      <c r="L22" s="16">
        <f t="shared" si="0"/>
        <v>368880</v>
      </c>
      <c r="M22" s="1"/>
      <c r="N22" s="1"/>
    </row>
    <row r="23" spans="1:14" ht="45.75" customHeight="1" x14ac:dyDescent="0.25">
      <c r="A23" s="24">
        <v>18</v>
      </c>
      <c r="B23" s="11" t="s">
        <v>49</v>
      </c>
      <c r="C23" s="12" t="s">
        <v>50</v>
      </c>
      <c r="D23" s="13" t="s">
        <v>59</v>
      </c>
      <c r="E23" s="28" t="s">
        <v>110</v>
      </c>
      <c r="F23" s="13" t="s">
        <v>60</v>
      </c>
      <c r="G23" s="15">
        <v>2</v>
      </c>
      <c r="H23" s="14" t="s">
        <v>61</v>
      </c>
      <c r="I23" s="16">
        <f>245000*0.1*2</f>
        <v>49000</v>
      </c>
      <c r="J23" s="17"/>
      <c r="K23" s="17"/>
      <c r="L23" s="16">
        <f t="shared" ref="L23:L32" si="3">I23+J23+K23</f>
        <v>49000</v>
      </c>
      <c r="M23" s="1"/>
      <c r="N23" s="1"/>
    </row>
    <row r="24" spans="1:14" ht="33.75" customHeight="1" x14ac:dyDescent="0.25">
      <c r="A24" s="24">
        <v>19</v>
      </c>
      <c r="B24" s="11" t="s">
        <v>54</v>
      </c>
      <c r="C24" s="12" t="s">
        <v>6</v>
      </c>
      <c r="D24" s="13" t="s">
        <v>59</v>
      </c>
      <c r="E24" s="30"/>
      <c r="F24" s="13" t="s">
        <v>60</v>
      </c>
      <c r="G24" s="15">
        <v>2</v>
      </c>
      <c r="H24" s="14" t="s">
        <v>61</v>
      </c>
      <c r="I24" s="16">
        <f>245000*0.1*2</f>
        <v>49000</v>
      </c>
      <c r="J24" s="17"/>
      <c r="K24" s="17"/>
      <c r="L24" s="16">
        <f t="shared" si="3"/>
        <v>49000</v>
      </c>
      <c r="M24" s="1"/>
      <c r="N24" s="1"/>
    </row>
    <row r="25" spans="1:14" ht="45.75" customHeight="1" x14ac:dyDescent="0.25">
      <c r="A25" s="24">
        <v>20</v>
      </c>
      <c r="B25" s="11" t="s">
        <v>49</v>
      </c>
      <c r="C25" s="12" t="s">
        <v>50</v>
      </c>
      <c r="D25" s="13" t="s">
        <v>51</v>
      </c>
      <c r="E25" s="28" t="s">
        <v>110</v>
      </c>
      <c r="F25" s="13" t="s">
        <v>52</v>
      </c>
      <c r="G25" s="15">
        <v>4</v>
      </c>
      <c r="H25" s="14" t="s">
        <v>53</v>
      </c>
      <c r="I25" s="16">
        <f>245000*0.1*4</f>
        <v>98000</v>
      </c>
      <c r="J25" s="17">
        <f>220000+760000</f>
        <v>980000</v>
      </c>
      <c r="K25" s="17">
        <v>135828</v>
      </c>
      <c r="L25" s="16">
        <f t="shared" si="3"/>
        <v>1213828</v>
      </c>
      <c r="M25" s="1"/>
      <c r="N25" s="1"/>
    </row>
    <row r="26" spans="1:14" ht="33.75" customHeight="1" x14ac:dyDescent="0.25">
      <c r="A26" s="24">
        <v>21</v>
      </c>
      <c r="B26" s="11" t="s">
        <v>54</v>
      </c>
      <c r="C26" s="12" t="s">
        <v>6</v>
      </c>
      <c r="D26" s="13" t="s">
        <v>51</v>
      </c>
      <c r="E26" s="29"/>
      <c r="F26" s="13" t="s">
        <v>52</v>
      </c>
      <c r="G26" s="15">
        <v>4</v>
      </c>
      <c r="H26" s="14" t="s">
        <v>53</v>
      </c>
      <c r="I26" s="16">
        <f t="shared" ref="I26:I27" si="4">245000*0.1*4</f>
        <v>98000</v>
      </c>
      <c r="J26" s="17">
        <f t="shared" ref="J26:J27" si="5">220000+760000</f>
        <v>980000</v>
      </c>
      <c r="K26" s="17">
        <v>135828</v>
      </c>
      <c r="L26" s="16">
        <f t="shared" si="3"/>
        <v>1213828</v>
      </c>
      <c r="M26" s="1"/>
      <c r="N26" s="1"/>
    </row>
    <row r="27" spans="1:14" ht="35.25" customHeight="1" x14ac:dyDescent="0.25">
      <c r="A27" s="24">
        <v>22</v>
      </c>
      <c r="B27" s="11" t="s">
        <v>55</v>
      </c>
      <c r="C27" s="12" t="s">
        <v>14</v>
      </c>
      <c r="D27" s="13" t="s">
        <v>51</v>
      </c>
      <c r="E27" s="30"/>
      <c r="F27" s="13" t="s">
        <v>52</v>
      </c>
      <c r="G27" s="15">
        <v>4</v>
      </c>
      <c r="H27" s="14" t="s">
        <v>53</v>
      </c>
      <c r="I27" s="16">
        <f t="shared" si="4"/>
        <v>98000</v>
      </c>
      <c r="J27" s="17">
        <f t="shared" si="5"/>
        <v>980000</v>
      </c>
      <c r="K27" s="17">
        <v>135828</v>
      </c>
      <c r="L27" s="16">
        <f t="shared" si="3"/>
        <v>1213828</v>
      </c>
      <c r="M27" s="1"/>
      <c r="N27" s="1"/>
    </row>
    <row r="28" spans="1:14" ht="45.75" customHeight="1" x14ac:dyDescent="0.25">
      <c r="A28" s="24">
        <v>23</v>
      </c>
      <c r="B28" s="11" t="s">
        <v>49</v>
      </c>
      <c r="C28" s="12" t="s">
        <v>50</v>
      </c>
      <c r="D28" s="13" t="s">
        <v>56</v>
      </c>
      <c r="E28" s="28" t="s">
        <v>110</v>
      </c>
      <c r="F28" s="13" t="s">
        <v>57</v>
      </c>
      <c r="G28" s="15">
        <v>3</v>
      </c>
      <c r="H28" s="14" t="s">
        <v>58</v>
      </c>
      <c r="I28" s="16">
        <f>245000*0.1*3</f>
        <v>73500</v>
      </c>
      <c r="J28" s="17">
        <v>500000</v>
      </c>
      <c r="K28" s="17">
        <f>313790+173000</f>
        <v>486790</v>
      </c>
      <c r="L28" s="16">
        <f t="shared" si="3"/>
        <v>1060290</v>
      </c>
      <c r="M28" s="1"/>
      <c r="N28" s="1"/>
    </row>
    <row r="29" spans="1:14" ht="33.75" customHeight="1" x14ac:dyDescent="0.25">
      <c r="A29" s="24">
        <v>24</v>
      </c>
      <c r="B29" s="11" t="s">
        <v>54</v>
      </c>
      <c r="C29" s="12" t="s">
        <v>6</v>
      </c>
      <c r="D29" s="13" t="s">
        <v>56</v>
      </c>
      <c r="E29" s="29"/>
      <c r="F29" s="13" t="s">
        <v>57</v>
      </c>
      <c r="G29" s="15">
        <v>3</v>
      </c>
      <c r="H29" s="14" t="s">
        <v>58</v>
      </c>
      <c r="I29" s="16">
        <f t="shared" ref="I29:I30" si="6">245000*0.1*3</f>
        <v>73500</v>
      </c>
      <c r="J29" s="17"/>
      <c r="K29" s="17">
        <f t="shared" ref="K29:K30" si="7">313790+173000</f>
        <v>486790</v>
      </c>
      <c r="L29" s="16">
        <f t="shared" si="3"/>
        <v>560290</v>
      </c>
      <c r="M29" s="1"/>
      <c r="N29" s="1"/>
    </row>
    <row r="30" spans="1:14" ht="35.25" customHeight="1" x14ac:dyDescent="0.25">
      <c r="A30" s="24">
        <v>25</v>
      </c>
      <c r="B30" s="11" t="s">
        <v>55</v>
      </c>
      <c r="C30" s="12" t="s">
        <v>14</v>
      </c>
      <c r="D30" s="13" t="s">
        <v>56</v>
      </c>
      <c r="E30" s="30"/>
      <c r="F30" s="13" t="s">
        <v>57</v>
      </c>
      <c r="G30" s="15">
        <v>3</v>
      </c>
      <c r="H30" s="14" t="s">
        <v>58</v>
      </c>
      <c r="I30" s="16">
        <f t="shared" si="6"/>
        <v>73500</v>
      </c>
      <c r="J30" s="17">
        <v>500000</v>
      </c>
      <c r="K30" s="17">
        <f t="shared" si="7"/>
        <v>486790</v>
      </c>
      <c r="L30" s="16">
        <f t="shared" si="3"/>
        <v>1060290</v>
      </c>
      <c r="M30" s="1"/>
      <c r="N30" s="1"/>
    </row>
    <row r="31" spans="1:14" ht="35.25" customHeight="1" x14ac:dyDescent="0.25">
      <c r="A31" s="24">
        <v>26</v>
      </c>
      <c r="B31" s="11" t="s">
        <v>55</v>
      </c>
      <c r="C31" s="12" t="s">
        <v>14</v>
      </c>
      <c r="D31" s="13" t="s">
        <v>62</v>
      </c>
      <c r="E31" s="25" t="s">
        <v>111</v>
      </c>
      <c r="F31" s="13" t="s">
        <v>63</v>
      </c>
      <c r="G31" s="15">
        <v>1</v>
      </c>
      <c r="H31" s="13" t="s">
        <v>42</v>
      </c>
      <c r="I31" s="16">
        <f>245000*0.1</f>
        <v>24500</v>
      </c>
      <c r="J31" s="17"/>
      <c r="K31" s="17">
        <v>128968</v>
      </c>
      <c r="L31" s="16">
        <f t="shared" si="3"/>
        <v>153468</v>
      </c>
      <c r="M31" s="1"/>
      <c r="N31" s="1"/>
    </row>
    <row r="32" spans="1:14" ht="45.75" customHeight="1" x14ac:dyDescent="0.25">
      <c r="A32" s="24">
        <v>27</v>
      </c>
      <c r="B32" s="11" t="s">
        <v>5</v>
      </c>
      <c r="C32" s="12" t="s">
        <v>4</v>
      </c>
      <c r="D32" s="13" t="s">
        <v>64</v>
      </c>
      <c r="E32" s="26" t="s">
        <v>104</v>
      </c>
      <c r="F32" s="13" t="s">
        <v>65</v>
      </c>
      <c r="G32" s="15">
        <v>2</v>
      </c>
      <c r="H32" s="12" t="s">
        <v>66</v>
      </c>
      <c r="I32" s="16">
        <f>245000*0.1*2</f>
        <v>49000</v>
      </c>
      <c r="J32" s="17">
        <f>49000*2</f>
        <v>98000</v>
      </c>
      <c r="K32" s="17">
        <v>185024</v>
      </c>
      <c r="L32" s="16">
        <f t="shared" si="3"/>
        <v>332024</v>
      </c>
      <c r="M32" s="1"/>
      <c r="N32" s="1"/>
    </row>
    <row r="33" spans="1:14" ht="45.75" customHeight="1" x14ac:dyDescent="0.25">
      <c r="A33" s="24">
        <v>28</v>
      </c>
      <c r="B33" s="11" t="s">
        <v>10</v>
      </c>
      <c r="C33" s="12" t="s">
        <v>11</v>
      </c>
      <c r="D33" s="13" t="s">
        <v>72</v>
      </c>
      <c r="E33" s="14" t="s">
        <v>103</v>
      </c>
      <c r="F33" s="13" t="s">
        <v>73</v>
      </c>
      <c r="G33" s="15">
        <v>4</v>
      </c>
      <c r="H33" s="14" t="s">
        <v>74</v>
      </c>
      <c r="I33" s="16">
        <f>270000*0.1*5</f>
        <v>135000</v>
      </c>
      <c r="J33" s="17">
        <f>300000*2</f>
        <v>600000</v>
      </c>
      <c r="K33" s="17">
        <f>455751+209520</f>
        <v>665271</v>
      </c>
      <c r="L33" s="19">
        <f>I33+J33+K33</f>
        <v>1400271</v>
      </c>
      <c r="M33" s="1"/>
      <c r="N33" s="1"/>
    </row>
    <row r="34" spans="1:14" ht="45.75" customHeight="1" x14ac:dyDescent="0.25">
      <c r="A34" s="24">
        <v>29</v>
      </c>
      <c r="B34" s="11" t="s">
        <v>71</v>
      </c>
      <c r="C34" s="12" t="s">
        <v>14</v>
      </c>
      <c r="D34" s="13" t="s">
        <v>72</v>
      </c>
      <c r="E34" s="14" t="s">
        <v>103</v>
      </c>
      <c r="F34" s="13" t="s">
        <v>73</v>
      </c>
      <c r="G34" s="15">
        <v>4</v>
      </c>
      <c r="H34" s="14" t="s">
        <v>74</v>
      </c>
      <c r="I34" s="16">
        <f>270000*0.1*5</f>
        <v>135000</v>
      </c>
      <c r="J34" s="17">
        <f>300000*2</f>
        <v>600000</v>
      </c>
      <c r="K34" s="17">
        <f>455751+456898</f>
        <v>912649</v>
      </c>
      <c r="L34" s="19">
        <f>I34+J34+K34</f>
        <v>1647649</v>
      </c>
      <c r="M34" s="1"/>
      <c r="N34" s="1"/>
    </row>
    <row r="35" spans="1:14" ht="45.75" customHeight="1" x14ac:dyDescent="0.25">
      <c r="A35" s="24">
        <v>30</v>
      </c>
      <c r="B35" s="11" t="s">
        <v>49</v>
      </c>
      <c r="C35" s="12" t="s">
        <v>50</v>
      </c>
      <c r="D35" s="13" t="s">
        <v>72</v>
      </c>
      <c r="E35" s="14" t="s">
        <v>103</v>
      </c>
      <c r="F35" s="18" t="s">
        <v>100</v>
      </c>
      <c r="G35" s="20">
        <v>8</v>
      </c>
      <c r="H35" s="14" t="s">
        <v>76</v>
      </c>
      <c r="I35" s="16">
        <f>270000*0.1*7</f>
        <v>189000</v>
      </c>
      <c r="J35" s="17">
        <f>480000+300000+660000</f>
        <v>1440000</v>
      </c>
      <c r="K35" s="17">
        <f>71064+16200+14688+62640</f>
        <v>164592</v>
      </c>
      <c r="L35" s="16">
        <f t="shared" ref="L35:L41" si="8">I35+J35+K35</f>
        <v>1793592</v>
      </c>
      <c r="M35" s="1"/>
      <c r="N35" s="1"/>
    </row>
    <row r="36" spans="1:14" ht="45.75" customHeight="1" x14ac:dyDescent="0.25">
      <c r="A36" s="24">
        <v>31</v>
      </c>
      <c r="B36" s="11" t="s">
        <v>75</v>
      </c>
      <c r="C36" s="12" t="s">
        <v>11</v>
      </c>
      <c r="D36" s="13" t="s">
        <v>72</v>
      </c>
      <c r="E36" s="14" t="s">
        <v>103</v>
      </c>
      <c r="F36" s="18" t="s">
        <v>100</v>
      </c>
      <c r="G36" s="20">
        <v>8</v>
      </c>
      <c r="H36" s="14" t="s">
        <v>76</v>
      </c>
      <c r="I36" s="16">
        <f>270000*0.1*7</f>
        <v>189000</v>
      </c>
      <c r="J36" s="17">
        <f>480000+300000+660000</f>
        <v>1440000</v>
      </c>
      <c r="K36" s="17">
        <f t="shared" ref="K36:K37" si="9">71064+16200+14688+62640</f>
        <v>164592</v>
      </c>
      <c r="L36" s="16">
        <f t="shared" si="8"/>
        <v>1793592</v>
      </c>
      <c r="M36" s="1"/>
      <c r="N36" s="1"/>
    </row>
    <row r="37" spans="1:14" ht="45.75" customHeight="1" x14ac:dyDescent="0.25">
      <c r="A37" s="24">
        <v>32</v>
      </c>
      <c r="B37" s="11" t="s">
        <v>55</v>
      </c>
      <c r="C37" s="12" t="s">
        <v>14</v>
      </c>
      <c r="D37" s="13" t="s">
        <v>72</v>
      </c>
      <c r="E37" s="14" t="s">
        <v>103</v>
      </c>
      <c r="F37" s="18" t="s">
        <v>100</v>
      </c>
      <c r="G37" s="20">
        <v>8</v>
      </c>
      <c r="H37" s="14" t="s">
        <v>76</v>
      </c>
      <c r="I37" s="16">
        <f>270000*0.1*7</f>
        <v>189000</v>
      </c>
      <c r="J37" s="17">
        <f>480000+300000+220000</f>
        <v>1000000</v>
      </c>
      <c r="K37" s="17">
        <f t="shared" si="9"/>
        <v>164592</v>
      </c>
      <c r="L37" s="16">
        <f t="shared" si="8"/>
        <v>1353592</v>
      </c>
      <c r="M37" s="1"/>
      <c r="N37" s="1"/>
    </row>
    <row r="38" spans="1:14" ht="45.75" customHeight="1" x14ac:dyDescent="0.25">
      <c r="A38" s="24">
        <v>33</v>
      </c>
      <c r="B38" s="11" t="s">
        <v>36</v>
      </c>
      <c r="C38" s="12" t="s">
        <v>11</v>
      </c>
      <c r="D38" s="13" t="s">
        <v>72</v>
      </c>
      <c r="E38" s="14" t="s">
        <v>103</v>
      </c>
      <c r="F38" s="13" t="s">
        <v>77</v>
      </c>
      <c r="G38" s="20">
        <v>8</v>
      </c>
      <c r="H38" s="14" t="s">
        <v>78</v>
      </c>
      <c r="I38" s="16">
        <f>270000*0.1*8</f>
        <v>216000</v>
      </c>
      <c r="J38" s="17">
        <f>240000+875000+300000</f>
        <v>1415000</v>
      </c>
      <c r="K38" s="17">
        <f>395066+81648+47800+200000</f>
        <v>724514</v>
      </c>
      <c r="L38" s="19">
        <f t="shared" si="8"/>
        <v>2355514</v>
      </c>
      <c r="M38" s="1"/>
      <c r="N38" s="1"/>
    </row>
    <row r="39" spans="1:14" ht="45.75" customHeight="1" x14ac:dyDescent="0.25">
      <c r="A39" s="24">
        <v>34</v>
      </c>
      <c r="B39" s="11" t="s">
        <v>54</v>
      </c>
      <c r="C39" s="12" t="s">
        <v>6</v>
      </c>
      <c r="D39" s="13" t="s">
        <v>72</v>
      </c>
      <c r="E39" s="14" t="s">
        <v>103</v>
      </c>
      <c r="F39" s="13" t="s">
        <v>77</v>
      </c>
      <c r="G39" s="20">
        <v>8</v>
      </c>
      <c r="H39" s="14" t="s">
        <v>78</v>
      </c>
      <c r="I39" s="16">
        <f>270000*0.1*10</f>
        <v>270000</v>
      </c>
      <c r="J39" s="17">
        <f>240000+875000+300000</f>
        <v>1415000</v>
      </c>
      <c r="K39" s="17">
        <f>395066+81648+47800+35640+125280</f>
        <v>685434</v>
      </c>
      <c r="L39" s="19">
        <f t="shared" si="8"/>
        <v>2370434</v>
      </c>
      <c r="M39" s="1"/>
      <c r="N39" s="1"/>
    </row>
    <row r="40" spans="1:14" ht="45.75" customHeight="1" x14ac:dyDescent="0.25">
      <c r="A40" s="24">
        <v>35</v>
      </c>
      <c r="B40" s="11" t="s">
        <v>79</v>
      </c>
      <c r="C40" s="12" t="s">
        <v>14</v>
      </c>
      <c r="D40" s="13" t="s">
        <v>72</v>
      </c>
      <c r="E40" s="14" t="s">
        <v>103</v>
      </c>
      <c r="F40" s="13" t="s">
        <v>81</v>
      </c>
      <c r="G40" s="15">
        <v>4</v>
      </c>
      <c r="H40" s="14" t="s">
        <v>84</v>
      </c>
      <c r="I40" s="16">
        <f t="shared" ref="I40:I41" si="10">270000*0.1*4</f>
        <v>108000</v>
      </c>
      <c r="J40" s="21">
        <v>495000</v>
      </c>
      <c r="K40" s="17">
        <v>89856</v>
      </c>
      <c r="L40" s="19">
        <f t="shared" si="8"/>
        <v>692856</v>
      </c>
      <c r="M40" s="1"/>
      <c r="N40" s="1"/>
    </row>
    <row r="41" spans="1:14" ht="45.75" customHeight="1" x14ac:dyDescent="0.25">
      <c r="A41" s="24">
        <v>36</v>
      </c>
      <c r="B41" s="11" t="s">
        <v>80</v>
      </c>
      <c r="C41" s="12" t="s">
        <v>14</v>
      </c>
      <c r="D41" s="13" t="s">
        <v>72</v>
      </c>
      <c r="E41" s="14" t="s">
        <v>103</v>
      </c>
      <c r="F41" s="13" t="s">
        <v>81</v>
      </c>
      <c r="G41" s="15">
        <v>4</v>
      </c>
      <c r="H41" s="14" t="s">
        <v>84</v>
      </c>
      <c r="I41" s="16">
        <f t="shared" si="10"/>
        <v>108000</v>
      </c>
      <c r="J41" s="21">
        <v>495000</v>
      </c>
      <c r="K41" s="17">
        <v>89856</v>
      </c>
      <c r="L41" s="19">
        <f t="shared" si="8"/>
        <v>692856</v>
      </c>
      <c r="M41" s="1"/>
      <c r="N41" s="1"/>
    </row>
    <row r="42" spans="1:14" ht="45.75" customHeight="1" x14ac:dyDescent="0.25">
      <c r="A42" s="24">
        <v>37</v>
      </c>
      <c r="B42" s="11" t="s">
        <v>10</v>
      </c>
      <c r="C42" s="12" t="s">
        <v>11</v>
      </c>
      <c r="D42" s="13" t="s">
        <v>72</v>
      </c>
      <c r="E42" s="14" t="s">
        <v>103</v>
      </c>
      <c r="F42" s="13" t="s">
        <v>85</v>
      </c>
      <c r="G42" s="15">
        <v>3</v>
      </c>
      <c r="H42" s="14" t="s">
        <v>66</v>
      </c>
      <c r="I42" s="16">
        <f>270000*0.1*3</f>
        <v>81000</v>
      </c>
      <c r="J42" s="17">
        <f>250000*3</f>
        <v>750000</v>
      </c>
      <c r="K42" s="17">
        <f>146000+141000</f>
        <v>287000</v>
      </c>
      <c r="L42" s="19">
        <f>I42+J42+K42</f>
        <v>1118000</v>
      </c>
      <c r="M42" s="1"/>
      <c r="N42" s="1"/>
    </row>
    <row r="43" spans="1:14" ht="45.75" customHeight="1" x14ac:dyDescent="0.25">
      <c r="A43" s="24">
        <v>38</v>
      </c>
      <c r="B43" s="11" t="s">
        <v>71</v>
      </c>
      <c r="C43" s="12" t="s">
        <v>14</v>
      </c>
      <c r="D43" s="13" t="s">
        <v>72</v>
      </c>
      <c r="E43" s="14" t="s">
        <v>103</v>
      </c>
      <c r="F43" s="13" t="s">
        <v>86</v>
      </c>
      <c r="G43" s="15">
        <v>1</v>
      </c>
      <c r="H43" s="13" t="s">
        <v>87</v>
      </c>
      <c r="I43" s="16">
        <f>270000*0.1*1</f>
        <v>27000</v>
      </c>
      <c r="J43" s="17"/>
      <c r="K43" s="17">
        <v>50976</v>
      </c>
      <c r="L43" s="19">
        <f>I43+J43+K43</f>
        <v>77976</v>
      </c>
      <c r="M43" s="1"/>
      <c r="N43" s="1"/>
    </row>
    <row r="44" spans="1:14" ht="45.75" customHeight="1" x14ac:dyDescent="0.25">
      <c r="A44" s="24">
        <v>39</v>
      </c>
      <c r="B44" s="11" t="s">
        <v>5</v>
      </c>
      <c r="C44" s="12" t="s">
        <v>4</v>
      </c>
      <c r="D44" s="13" t="s">
        <v>83</v>
      </c>
      <c r="E44" s="14" t="s">
        <v>103</v>
      </c>
      <c r="F44" s="13" t="s">
        <v>82</v>
      </c>
      <c r="G44" s="15">
        <v>2</v>
      </c>
      <c r="H44" s="12" t="s">
        <v>12</v>
      </c>
      <c r="I44" s="16">
        <f>270000*0.1*2</f>
        <v>54000</v>
      </c>
      <c r="J44" s="17">
        <f>54000*2</f>
        <v>108000</v>
      </c>
      <c r="K44" s="17">
        <v>133920</v>
      </c>
      <c r="L44" s="16">
        <f>I44+J44+K44</f>
        <v>295920</v>
      </c>
      <c r="M44" s="1"/>
      <c r="N44" s="1"/>
    </row>
    <row r="45" spans="1:14" ht="45.75" customHeight="1" x14ac:dyDescent="0.25">
      <c r="A45" s="24">
        <v>40</v>
      </c>
      <c r="B45" s="11" t="s">
        <v>55</v>
      </c>
      <c r="C45" s="12" t="s">
        <v>14</v>
      </c>
      <c r="D45" s="13" t="s">
        <v>88</v>
      </c>
      <c r="E45" s="27" t="s">
        <v>106</v>
      </c>
      <c r="F45" s="13" t="s">
        <v>89</v>
      </c>
      <c r="G45" s="20">
        <v>3</v>
      </c>
      <c r="H45" s="23" t="s">
        <v>42</v>
      </c>
      <c r="I45" s="16">
        <f>270000*0.1*3</f>
        <v>81000</v>
      </c>
      <c r="J45" s="17">
        <v>270000</v>
      </c>
      <c r="K45" s="17">
        <f>124351+71064</f>
        <v>195415</v>
      </c>
      <c r="L45" s="16">
        <f t="shared" ref="L45:L47" si="11">I45+J45+K45</f>
        <v>546415</v>
      </c>
      <c r="M45" s="1"/>
      <c r="N45" s="1"/>
    </row>
    <row r="46" spans="1:14" ht="45.75" customHeight="1" x14ac:dyDescent="0.25">
      <c r="A46" s="24">
        <v>41</v>
      </c>
      <c r="B46" s="11" t="s">
        <v>75</v>
      </c>
      <c r="C46" s="12" t="s">
        <v>11</v>
      </c>
      <c r="D46" s="13" t="s">
        <v>92</v>
      </c>
      <c r="E46" s="27" t="s">
        <v>112</v>
      </c>
      <c r="F46" s="13" t="s">
        <v>90</v>
      </c>
      <c r="G46" s="15">
        <v>8</v>
      </c>
      <c r="H46" s="13" t="s">
        <v>91</v>
      </c>
      <c r="I46" s="16">
        <f>270000*0.1*4</f>
        <v>108000</v>
      </c>
      <c r="J46" s="17">
        <v>880000</v>
      </c>
      <c r="K46" s="17">
        <f>1579710+170990+122750</f>
        <v>1873450</v>
      </c>
      <c r="L46" s="19">
        <f t="shared" si="11"/>
        <v>2861450</v>
      </c>
      <c r="M46" s="1"/>
      <c r="N46" s="1"/>
    </row>
    <row r="47" spans="1:14" ht="45.75" customHeight="1" x14ac:dyDescent="0.25">
      <c r="A47" s="24">
        <v>42</v>
      </c>
      <c r="B47" s="11" t="s">
        <v>75</v>
      </c>
      <c r="C47" s="12" t="s">
        <v>11</v>
      </c>
      <c r="D47" s="13" t="s">
        <v>93</v>
      </c>
      <c r="E47" s="27" t="s">
        <v>112</v>
      </c>
      <c r="F47" s="13" t="s">
        <v>94</v>
      </c>
      <c r="G47" s="15">
        <v>1</v>
      </c>
      <c r="H47" s="13" t="s">
        <v>91</v>
      </c>
      <c r="I47" s="16">
        <f>270000*0.1</f>
        <v>27000</v>
      </c>
      <c r="J47" s="17">
        <v>220000</v>
      </c>
      <c r="K47" s="17">
        <f>867127+458824</f>
        <v>1325951</v>
      </c>
      <c r="L47" s="19">
        <f t="shared" si="11"/>
        <v>1572951</v>
      </c>
      <c r="M47" s="1"/>
      <c r="N47" s="1"/>
    </row>
    <row r="48" spans="1:14" ht="41.25" customHeight="1" x14ac:dyDescent="0.25">
      <c r="A48" s="24">
        <v>43</v>
      </c>
      <c r="B48" s="11" t="s">
        <v>5</v>
      </c>
      <c r="C48" s="12" t="s">
        <v>4</v>
      </c>
      <c r="D48" s="13" t="s">
        <v>95</v>
      </c>
      <c r="E48" s="27" t="s">
        <v>106</v>
      </c>
      <c r="F48" s="13" t="s">
        <v>96</v>
      </c>
      <c r="G48" s="15">
        <v>3</v>
      </c>
      <c r="H48" s="22" t="s">
        <v>66</v>
      </c>
      <c r="I48" s="16">
        <f>270000*0.1*2</f>
        <v>54000</v>
      </c>
      <c r="J48" s="17">
        <f>54000*2</f>
        <v>108000</v>
      </c>
      <c r="K48" s="17">
        <f>203040</f>
        <v>203040</v>
      </c>
      <c r="L48" s="16">
        <f>I48+J48+K48</f>
        <v>365040</v>
      </c>
      <c r="M48" s="1"/>
      <c r="N48" s="1"/>
    </row>
    <row r="49" spans="1:14" ht="35.25" customHeight="1" x14ac:dyDescent="0.25">
      <c r="A49" s="24">
        <v>44</v>
      </c>
      <c r="B49" s="11" t="s">
        <v>97</v>
      </c>
      <c r="C49" s="12" t="s">
        <v>11</v>
      </c>
      <c r="D49" s="13" t="s">
        <v>98</v>
      </c>
      <c r="E49" s="14" t="s">
        <v>113</v>
      </c>
      <c r="F49" s="13" t="s">
        <v>99</v>
      </c>
      <c r="G49" s="15">
        <v>9</v>
      </c>
      <c r="H49" s="13" t="s">
        <v>16</v>
      </c>
      <c r="I49" s="16">
        <f>270000*0.1*9</f>
        <v>243000</v>
      </c>
      <c r="J49" s="17"/>
      <c r="K49" s="17">
        <f>173000+273550</f>
        <v>446550</v>
      </c>
      <c r="L49" s="19">
        <f t="shared" ref="L49" si="12">I49+J49+K49</f>
        <v>689550</v>
      </c>
      <c r="M49" s="1"/>
      <c r="N49" s="1"/>
    </row>
    <row r="50" spans="1:14" ht="20.25" customHeight="1" x14ac:dyDescent="0.25">
      <c r="A50" s="2"/>
      <c r="B50" s="3" t="s">
        <v>67</v>
      </c>
      <c r="C50" s="6"/>
      <c r="D50" s="6"/>
      <c r="E50" s="6"/>
      <c r="F50" s="6"/>
      <c r="G50" s="6"/>
      <c r="H50" s="6"/>
      <c r="I50" s="5">
        <f>SUM(I6:I49)</f>
        <v>4018800</v>
      </c>
      <c r="J50" s="5">
        <f t="shared" ref="J50:K50" si="13">SUM(J6:J49)</f>
        <v>20486000</v>
      </c>
      <c r="K50" s="5">
        <f t="shared" si="13"/>
        <v>12877364</v>
      </c>
      <c r="L50" s="5">
        <f>SUM(L6:L49)</f>
        <v>37382164</v>
      </c>
      <c r="M50" s="1"/>
      <c r="N50" s="1"/>
    </row>
    <row r="52" spans="1:14" x14ac:dyDescent="0.25">
      <c r="C52" s="10"/>
      <c r="D52" s="10"/>
      <c r="E52" s="10"/>
      <c r="F52" s="10"/>
      <c r="G52" s="8"/>
      <c r="H52" s="7"/>
    </row>
  </sheetData>
  <mergeCells count="13">
    <mergeCell ref="A1:L1"/>
    <mergeCell ref="A3:L3"/>
    <mergeCell ref="A4:L4"/>
    <mergeCell ref="A2:L2"/>
    <mergeCell ref="C52:F52"/>
    <mergeCell ref="E6:E9"/>
    <mergeCell ref="E10:E12"/>
    <mergeCell ref="E13:E15"/>
    <mergeCell ref="E16:E17"/>
    <mergeCell ref="E19:E21"/>
    <mergeCell ref="E25:E27"/>
    <mergeCell ref="E28:E30"/>
    <mergeCell ref="E23:E2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йил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2022-01-19T17:20:25Z</dcterms:modified>
</cp:coreProperties>
</file>